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EALTH\GENERAL\New or Potential Business\01-Active or Current\Glendale CCD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14" i="1"/>
  <c r="K28" i="1"/>
  <c r="K34" i="1"/>
  <c r="K17" i="1"/>
  <c r="K11" i="1"/>
  <c r="K29" i="1"/>
  <c r="K22" i="1"/>
  <c r="K35" i="1"/>
  <c r="K37" i="1"/>
  <c r="K21" i="1"/>
  <c r="K9" i="1"/>
  <c r="K24" i="1"/>
  <c r="K25" i="1"/>
  <c r="K15" i="1"/>
  <c r="K13" i="1"/>
  <c r="K12" i="1"/>
  <c r="K36" i="1"/>
  <c r="K16" i="1"/>
  <c r="K33" i="1"/>
  <c r="K18" i="1"/>
  <c r="K32" i="1"/>
  <c r="K7" i="1"/>
  <c r="K23" i="1"/>
  <c r="K47" i="1"/>
  <c r="K43" i="1"/>
  <c r="K48" i="1"/>
  <c r="K44" i="1"/>
  <c r="K46" i="1"/>
  <c r="K41" i="1"/>
  <c r="K42" i="1"/>
  <c r="K45" i="1"/>
  <c r="B7" i="1"/>
</calcChain>
</file>

<file path=xl/sharedStrings.xml><?xml version="1.0" encoding="utf-8"?>
<sst xmlns="http://schemas.openxmlformats.org/spreadsheetml/2006/main" count="310" uniqueCount="148">
  <si>
    <t>District Name</t>
  </si>
  <si>
    <t>Bargaining Unit</t>
  </si>
  <si>
    <t>2020-2021</t>
  </si>
  <si>
    <t>MEDICAL - CALENDAR YEAR Deductibles &amp; Maximums</t>
  </si>
  <si>
    <t xml:space="preserve">Individual/Family Deductibles </t>
  </si>
  <si>
    <t>PROFESSIONAL SERVICES</t>
  </si>
  <si>
    <t>Urgent Care co-pay</t>
  </si>
  <si>
    <t>Specialists/Consultants co-pay</t>
  </si>
  <si>
    <t>Prenatal, postnatal office visit co-pay</t>
  </si>
  <si>
    <t>Scans: CT, CAT, MRI, PET etc.</t>
  </si>
  <si>
    <t xml:space="preserve">Diagnostic X-ray &amp; Laboratory Procedures </t>
  </si>
  <si>
    <t>HOSPITAL &amp; SKILLED NURSING FACILITY SERVICES</t>
  </si>
  <si>
    <t xml:space="preserve">Outpatient Hospital </t>
  </si>
  <si>
    <t>MENTAL HEALTH &amp; SUBSTANCE ABUSE TREATMENT</t>
  </si>
  <si>
    <t>OTHER SERVICES</t>
  </si>
  <si>
    <t>Acupuncture  - Limits apply</t>
  </si>
  <si>
    <t>Ambulance (Ground or Air)</t>
  </si>
  <si>
    <t>Chiropractic  - Limits apply</t>
  </si>
  <si>
    <t>Durable Medical Equipment (DME)</t>
  </si>
  <si>
    <t>Physical and Occupational Therapy - Limits apply</t>
  </si>
  <si>
    <t>Hearing Aids</t>
  </si>
  <si>
    <t>PHARMACY BENEFITS</t>
  </si>
  <si>
    <t>Plan</t>
  </si>
  <si>
    <t>Pharmacy Benefit Manager</t>
  </si>
  <si>
    <t>Individual/Family Brand &amp; Specialty Rx Deductibles</t>
  </si>
  <si>
    <t>Generic co-pay/30 days supply</t>
  </si>
  <si>
    <t>Brand co-pay/30 days supply</t>
  </si>
  <si>
    <t>Specialty co-pay/up to 30 days supply</t>
  </si>
  <si>
    <t>Mail Order (Generic-Brand co-pay/90 days supply)</t>
  </si>
  <si>
    <t>Mail Order Pharmacy</t>
  </si>
  <si>
    <r>
      <t xml:space="preserve">Individual/Family Out-of-Pocket (OOP) Max
</t>
    </r>
    <r>
      <rPr>
        <sz val="10"/>
        <color theme="1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includes medical deductibles, co-insurance and co-pays</t>
    </r>
    <r>
      <rPr>
        <sz val="10"/>
        <color theme="1"/>
        <rFont val="Calibri"/>
        <family val="2"/>
        <scheme val="minor"/>
      </rPr>
      <t>)</t>
    </r>
  </si>
  <si>
    <r>
      <t xml:space="preserve">Infertility </t>
    </r>
    <r>
      <rPr>
        <sz val="10"/>
        <color theme="1"/>
        <rFont val="Calibri"/>
        <family val="2"/>
        <scheme val="minor"/>
      </rPr>
      <t xml:space="preserve"> (diagnosis/treatment of causes of infertility subject to plan benefits)</t>
    </r>
  </si>
  <si>
    <r>
      <t>Preventive Care</t>
    </r>
    <r>
      <rPr>
        <sz val="10"/>
        <color theme="1"/>
        <rFont val="Calibri"/>
        <family val="2"/>
        <scheme val="minor"/>
      </rPr>
      <t xml:space="preserve"> (includes physical exams &amp; screenings)</t>
    </r>
  </si>
  <si>
    <r>
      <t xml:space="preserve">Emergency Room visit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(waived if admitted)</t>
    </r>
  </si>
  <si>
    <r>
      <t xml:space="preserve">Inpatient Hospital </t>
    </r>
    <r>
      <rPr>
        <sz val="10"/>
        <color theme="1"/>
        <rFont val="Calibri"/>
        <family val="2"/>
        <scheme val="minor"/>
      </rPr>
      <t>(preauthorization required) - limits may apply</t>
    </r>
  </si>
  <si>
    <r>
      <t>Surgery, Outpatient</t>
    </r>
    <r>
      <rPr>
        <sz val="10"/>
        <color theme="1"/>
        <rFont val="Calibri"/>
        <family val="2"/>
        <scheme val="minor"/>
      </rPr>
      <t xml:space="preserve"> (performed in Surgery Center)</t>
    </r>
  </si>
  <si>
    <r>
      <t xml:space="preserve">Surgery, Outpatient </t>
    </r>
    <r>
      <rPr>
        <sz val="10"/>
        <color theme="1"/>
        <rFont val="Calibri"/>
        <family val="2"/>
        <scheme val="minor"/>
      </rPr>
      <t>(performed in a Hospital) - limits may apply</t>
    </r>
  </si>
  <si>
    <r>
      <rPr>
        <b/>
        <sz val="11"/>
        <color theme="1"/>
        <rFont val="Calibri"/>
        <family val="2"/>
        <scheme val="minor"/>
      </rPr>
      <t xml:space="preserve">INPATIENT: </t>
    </r>
    <r>
      <rPr>
        <sz val="11"/>
        <color theme="1"/>
        <rFont val="Calibri"/>
        <family val="2"/>
        <scheme val="minor"/>
      </rPr>
      <t>Facility Based Care</t>
    </r>
    <r>
      <rPr>
        <sz val="10"/>
        <color theme="1"/>
        <rFont val="Calibri"/>
        <family val="2"/>
        <scheme val="minor"/>
      </rPr>
      <t xml:space="preserve"> (preauth required)</t>
    </r>
  </si>
  <si>
    <r>
      <rPr>
        <b/>
        <sz val="11"/>
        <color theme="1"/>
        <rFont val="Calibri"/>
        <family val="2"/>
        <scheme val="minor"/>
      </rPr>
      <t>OUTPATIENT:</t>
    </r>
    <r>
      <rPr>
        <sz val="11"/>
        <color theme="1"/>
        <rFont val="Calibri"/>
        <family val="2"/>
        <scheme val="minor"/>
      </rPr>
      <t xml:space="preserve"> Facility Based Care </t>
    </r>
    <r>
      <rPr>
        <sz val="10"/>
        <color theme="1"/>
        <rFont val="Calibri"/>
        <family val="2"/>
        <scheme val="minor"/>
      </rPr>
      <t>(preauth required)</t>
    </r>
  </si>
  <si>
    <r>
      <t>Individual/Family Rx Out-of-Pocket (OOP) Max
(</t>
    </r>
    <r>
      <rPr>
        <sz val="11"/>
        <color rgb="FFFF0000"/>
        <rFont val="Calibri"/>
        <family val="2"/>
        <scheme val="minor"/>
      </rPr>
      <t>includes Rx deductibles and co-pays</t>
    </r>
    <r>
      <rPr>
        <sz val="11"/>
        <color theme="1"/>
        <rFont val="Calibri"/>
        <family val="2"/>
        <scheme val="minor"/>
      </rPr>
      <t>)</t>
    </r>
  </si>
  <si>
    <t>Member Pays</t>
  </si>
  <si>
    <t>Blue Shield</t>
  </si>
  <si>
    <t>Not covered</t>
  </si>
  <si>
    <r>
      <t xml:space="preserve">Office Visit (OV) co-pay </t>
    </r>
    <r>
      <rPr>
        <sz val="10"/>
        <color rgb="FFFF0000"/>
        <rFont val="Calibri"/>
        <family val="2"/>
        <scheme val="minor"/>
      </rPr>
      <t>(SISC - $0 Copay for first 3 calendar year Primary Care office visits on Non-HSA PPO plans)</t>
    </r>
  </si>
  <si>
    <t>No Charge</t>
  </si>
  <si>
    <t>5-20</t>
  </si>
  <si>
    <t>Navitus</t>
  </si>
  <si>
    <t>$1,500/$2,500</t>
  </si>
  <si>
    <t>$20 Must Use Navitus Mail</t>
  </si>
  <si>
    <t>Costco Mail Order Pharmacy</t>
  </si>
  <si>
    <t>$10/$40/$100 Gen/Brand/Non Pref</t>
  </si>
  <si>
    <t>$0 at Costco
$5 at Other Network</t>
  </si>
  <si>
    <t>$1,500/$3,000</t>
  </si>
  <si>
    <t>Glendale Community College District</t>
  </si>
  <si>
    <t>ALL</t>
  </si>
  <si>
    <t>GCCD - 500-90/70 $20 OV</t>
  </si>
  <si>
    <t>$75/Visit + 10%</t>
  </si>
  <si>
    <t>$20 per visit</t>
  </si>
  <si>
    <t>Not Covered</t>
  </si>
  <si>
    <t>10% - up to 20 visits per calendar year.</t>
  </si>
  <si>
    <t>$25 per visit - up to 20 visits per calendar year.</t>
  </si>
  <si>
    <t>None</t>
  </si>
  <si>
    <t>Combined with medical</t>
  </si>
  <si>
    <t>$15/$30  Brand/Non-Brand</t>
  </si>
  <si>
    <t xml:space="preserve">30% (up to $200 copay max per prescription)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</si>
  <si>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$0/$20/$30/$60 Contraceptives &amp; Devices/Gen/Brand/Non-Formulary</t>
  </si>
  <si>
    <t>$0 at Costco
$3 at Other Network</t>
  </si>
  <si>
    <t>$15 Must Use Navitus Mail</t>
  </si>
  <si>
    <t>$0/$0</t>
  </si>
  <si>
    <t>$1,000/$2,000</t>
  </si>
  <si>
    <t/>
  </si>
  <si>
    <t>$10</t>
  </si>
  <si>
    <t>$0</t>
  </si>
  <si>
    <t>50%</t>
  </si>
  <si>
    <t>$100</t>
  </si>
  <si>
    <t>$10/30 visits
combined w/chiro</t>
  </si>
  <si>
    <t>$10/30 visits
 combined w/acu</t>
  </si>
  <si>
    <t>GCCD - PPO 500-90/70 $20 OV</t>
  </si>
  <si>
    <t>GCCD - HMO 10-0 IP</t>
  </si>
  <si>
    <t>$50 per visit</t>
  </si>
  <si>
    <t>$50 per surgery</t>
  </si>
  <si>
    <t>Breast Pump-No Charge; All other 50%</t>
  </si>
  <si>
    <t>$10/20-$20/40 w/$0</t>
  </si>
  <si>
    <t>$0-Contraceptives; All other $10</t>
  </si>
  <si>
    <t xml:space="preserve">20% (up to $200 copay max per prescription)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</si>
  <si>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$0/$20/$40 Contraceptives/Formulary Generic/Form Brand</t>
  </si>
  <si>
    <t>??</t>
  </si>
  <si>
    <t>Kaiser Permanente</t>
  </si>
  <si>
    <t>$10/$0-Well Child (up to 23 months)</t>
  </si>
  <si>
    <t>$50/Visit</t>
  </si>
  <si>
    <t>$10 per procedure</t>
  </si>
  <si>
    <t>$10 per visit</t>
  </si>
  <si>
    <t>GCCD - $10 OV</t>
  </si>
  <si>
    <t>$50 per trip</t>
  </si>
  <si>
    <t>$10-$20 (30 Day)</t>
  </si>
  <si>
    <t>$10, 30 day supply/$20, up to 100 day supply</t>
  </si>
  <si>
    <t>$20, 30 day supply/$40, up to 100 day supply</t>
  </si>
  <si>
    <t>GCCD - $25/$50 PRIM/SPEC</t>
  </si>
  <si>
    <t>SISC $10 OV</t>
  </si>
  <si>
    <t>Trad HMO $10</t>
  </si>
  <si>
    <t>Co-pay applies</t>
  </si>
  <si>
    <t>$50</t>
  </si>
  <si>
    <t>no charge</t>
  </si>
  <si>
    <t xml:space="preserve">amount in excess of $500 allowance every 36 months </t>
  </si>
  <si>
    <t>Kaiser</t>
  </si>
  <si>
    <t>none</t>
  </si>
  <si>
    <t>Included w/ Med OOP Max</t>
  </si>
  <si>
    <t>$10 up to 100 day supply</t>
  </si>
  <si>
    <t>$10 up to 30 day supply</t>
  </si>
  <si>
    <t>$10-$10/up to 100 day supply</t>
  </si>
  <si>
    <t>Kaiser Mail Order Pharmacy</t>
  </si>
  <si>
    <t>Ded HMO $500</t>
  </si>
  <si>
    <t>GCCD - HMO 40-40%</t>
  </si>
  <si>
    <t>$3,500/$7,000</t>
  </si>
  <si>
    <t>$100 per visit</t>
  </si>
  <si>
    <t>$100 per trip</t>
  </si>
  <si>
    <t>Breast Pump, Orthotic equip/devices, Prostheic equip/devices-No Charge; All other 50%</t>
  </si>
  <si>
    <t>$40 per visit</t>
  </si>
  <si>
    <t>$40 (HMO) &amp; $50 (Self Referred)</t>
  </si>
  <si>
    <t>90-G $20</t>
  </si>
  <si>
    <t>3-15 (Non-Marketed)</t>
  </si>
  <si>
    <t>Anthem</t>
  </si>
  <si>
    <t>$500/$1,000</t>
  </si>
  <si>
    <t>$1,000/$3,000</t>
  </si>
  <si>
    <t>$20</t>
  </si>
  <si>
    <t>10%</t>
  </si>
  <si>
    <t>0%
Ded Waived</t>
  </si>
  <si>
    <t>10%
$100 co-pay</t>
  </si>
  <si>
    <t>10% and
Amount in excess of $700 allowance/24 months</t>
  </si>
  <si>
    <t>$0-$35</t>
  </si>
  <si>
    <t>Premier 10</t>
  </si>
  <si>
    <t>$100/test</t>
  </si>
  <si>
    <t>50% Coinsurance 
1 device per ear/36 months</t>
  </si>
  <si>
    <t xml:space="preserve">$0-$50 </t>
  </si>
  <si>
    <t>Value 30/40/500/3 day</t>
  </si>
  <si>
    <t>200/10-35</t>
  </si>
  <si>
    <t>$2,500/$5,000</t>
  </si>
  <si>
    <t>$30</t>
  </si>
  <si>
    <t>$40</t>
  </si>
  <si>
    <t>$150</t>
  </si>
  <si>
    <t>$500/day                        3 day max</t>
  </si>
  <si>
    <t>$250/admit</t>
  </si>
  <si>
    <t>$200/$500</t>
  </si>
  <si>
    <t>$2,500/$3,500</t>
  </si>
  <si>
    <t>$0 at Costco
$10 at Other Network</t>
  </si>
  <si>
    <t>$35 Must Use Navitus Mail</t>
  </si>
  <si>
    <t>$0-$90</t>
  </si>
  <si>
    <r>
      <t>Comparison of GCCD Custom/SISC Medical and Rx Plans</t>
    </r>
    <r>
      <rPr>
        <b/>
        <sz val="16"/>
        <color rgb="FF00B050"/>
        <rFont val="Calibri"/>
        <family val="2"/>
        <scheme val="minor"/>
      </rPr>
      <t xml:space="preserve"> - Updated to reflect Anthem 6/25/2021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</si>
</sst>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9" fontId="0" fillId="0" borderId="1" xfId="3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" fontId="11" fillId="3" borderId="1" xfId="0" quotePrefix="1" applyNumberFormat="1" applyFont="1" applyFill="1" applyBorder="1" applyAlignment="1">
      <alignment horizontal="center" vertical="center"/>
    </xf>
    <xf numFmtId="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3" fontId="10" fillId="0" borderId="0" xfId="1" applyFont="1" applyFill="1" applyBorder="1" applyAlignment="1" applyProtection="1">
      <alignment horizontal="center" vertical="center" wrapText="1"/>
      <protection hidden="1"/>
    </xf>
    <xf numFmtId="6" fontId="0" fillId="0" borderId="1" xfId="0" applyNumberFormat="1" applyFill="1" applyBorder="1" applyAlignment="1">
      <alignment horizontal="center" vertical="center"/>
    </xf>
    <xf numFmtId="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" xfId="2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6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horizontal="center" vertical="center" wrapText="1"/>
      <protection hidden="1"/>
    </xf>
    <xf numFmtId="9" fontId="0" fillId="0" borderId="1" xfId="3" applyFont="1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6" fontId="0" fillId="0" borderId="1" xfId="0" applyNumberFormat="1" applyFill="1" applyBorder="1" applyAlignment="1">
      <alignment horizontal="center" vertical="center" wrapText="1"/>
    </xf>
    <xf numFmtId="6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6" fontId="0" fillId="0" borderId="1" xfId="3" applyNumberFormat="1" applyFont="1" applyFill="1" applyBorder="1" applyAlignment="1">
      <alignment horizontal="center" vertical="center"/>
    </xf>
    <xf numFmtId="164" fontId="13" fillId="0" borderId="1" xfId="4" applyNumberFormat="1" applyFont="1" applyFill="1" applyBorder="1" applyAlignment="1">
      <alignment horizontal="center" vertical="center" wrapText="1"/>
    </xf>
    <xf numFmtId="9" fontId="0" fillId="0" borderId="1" xfId="2" applyNumberFormat="1" applyFont="1" applyFill="1" applyBorder="1" applyAlignment="1">
      <alignment horizontal="center" vertical="center"/>
    </xf>
    <xf numFmtId="165" fontId="0" fillId="0" borderId="1" xfId="3" applyNumberFormat="1" applyFont="1" applyFill="1" applyBorder="1" applyAlignment="1">
      <alignment horizontal="center" vertical="center"/>
    </xf>
    <xf numFmtId="6" fontId="0" fillId="0" borderId="1" xfId="3" applyNumberFormat="1" applyFont="1" applyFill="1" applyBorder="1" applyAlignment="1">
      <alignment horizontal="center" vertical="center" wrapText="1"/>
    </xf>
    <xf numFmtId="6" fontId="0" fillId="0" borderId="1" xfId="0" applyNumberFormat="1" applyFont="1" applyBorder="1" applyAlignment="1" applyProtection="1">
      <alignment horizontal="center" vertical="center" wrapText="1"/>
      <protection hidden="1"/>
    </xf>
    <xf numFmtId="43" fontId="10" fillId="0" borderId="0" xfId="1" applyFont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165" fontId="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 applyProtection="1">
      <alignment horizontal="center" vertical="center" wrapText="1"/>
      <protection hidden="1"/>
    </xf>
    <xf numFmtId="9" fontId="0" fillId="0" borderId="1" xfId="3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 wrapText="1"/>
    </xf>
    <xf numFmtId="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49740</xdr:colOff>
      <xdr:row>0</xdr:row>
      <xdr:rowOff>66392</xdr:rowOff>
    </xdr:from>
    <xdr:to>
      <xdr:col>0</xdr:col>
      <xdr:colOff>1620131</xdr:colOff>
      <xdr:row>3</xdr:row>
      <xdr:rowOff>1057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0" y="66392"/>
          <a:ext cx="1570391" cy="47759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6.140625" customWidth="1"/>
    <col min="2" max="2" width="17.5703125" customWidth="1"/>
    <col min="3" max="3" width="16" customWidth="1"/>
    <col min="4" max="4" width="17.5703125" customWidth="1"/>
    <col min="5" max="7" width="16" customWidth="1"/>
    <col min="8" max="11" width="17.5703125" customWidth="1"/>
  </cols>
  <sheetData>
    <row r="1" spans="1:11" ht="21" x14ac:dyDescent="0.35">
      <c r="A1" s="1" t="s">
        <v>0</v>
      </c>
      <c r="B1" s="62" t="s">
        <v>53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21" x14ac:dyDescent="0.35">
      <c r="A2" s="1" t="s">
        <v>1</v>
      </c>
      <c r="B2" s="62" t="s">
        <v>54</v>
      </c>
      <c r="C2" s="62"/>
      <c r="D2" s="62"/>
      <c r="E2" s="62"/>
      <c r="F2" s="62"/>
      <c r="G2" s="62"/>
      <c r="H2" s="62"/>
      <c r="I2" s="62"/>
      <c r="J2" s="62"/>
      <c r="K2" s="62"/>
    </row>
    <row r="3" spans="1:11" ht="21" x14ac:dyDescent="0.35">
      <c r="A3" s="1"/>
      <c r="B3" s="63" t="s">
        <v>147</v>
      </c>
      <c r="C3" s="63"/>
      <c r="D3" s="63"/>
      <c r="E3" s="63"/>
      <c r="F3" s="63"/>
      <c r="G3" s="63"/>
      <c r="H3" s="63"/>
      <c r="I3" s="63"/>
      <c r="J3" s="63"/>
      <c r="K3" s="63"/>
    </row>
    <row r="4" spans="1:11" ht="31.5" x14ac:dyDescent="0.25">
      <c r="A4" s="2" t="s">
        <v>2</v>
      </c>
      <c r="B4" s="3" t="s">
        <v>41</v>
      </c>
      <c r="C4" s="19" t="s">
        <v>121</v>
      </c>
      <c r="D4" s="3" t="s">
        <v>41</v>
      </c>
      <c r="E4" s="19" t="s">
        <v>121</v>
      </c>
      <c r="F4" s="3" t="s">
        <v>41</v>
      </c>
      <c r="G4" s="19" t="s">
        <v>121</v>
      </c>
      <c r="H4" s="3" t="s">
        <v>87</v>
      </c>
      <c r="I4" s="19" t="s">
        <v>87</v>
      </c>
      <c r="J4" s="3" t="s">
        <v>87</v>
      </c>
      <c r="K4" s="19" t="s">
        <v>87</v>
      </c>
    </row>
    <row r="5" spans="1:11" ht="47.25" x14ac:dyDescent="0.25">
      <c r="A5" s="4"/>
      <c r="B5" s="17" t="s">
        <v>77</v>
      </c>
      <c r="C5" s="20" t="s">
        <v>119</v>
      </c>
      <c r="D5" s="17" t="s">
        <v>78</v>
      </c>
      <c r="E5" s="20" t="s">
        <v>130</v>
      </c>
      <c r="F5" s="17" t="s">
        <v>112</v>
      </c>
      <c r="G5" s="20" t="s">
        <v>134</v>
      </c>
      <c r="H5" s="18" t="s">
        <v>92</v>
      </c>
      <c r="I5" s="20" t="s">
        <v>98</v>
      </c>
      <c r="J5" s="17" t="s">
        <v>97</v>
      </c>
      <c r="K5" s="20" t="s">
        <v>111</v>
      </c>
    </row>
    <row r="6" spans="1:11" ht="30" x14ac:dyDescent="0.25">
      <c r="A6" s="5" t="s">
        <v>3</v>
      </c>
      <c r="B6" s="12" t="s">
        <v>40</v>
      </c>
      <c r="C6" s="12" t="s">
        <v>40</v>
      </c>
      <c r="D6" s="12" t="s">
        <v>40</v>
      </c>
      <c r="E6" s="12" t="s">
        <v>40</v>
      </c>
      <c r="F6" s="12" t="s">
        <v>40</v>
      </c>
      <c r="G6" s="12" t="s">
        <v>40</v>
      </c>
      <c r="H6" s="12" t="s">
        <v>40</v>
      </c>
      <c r="I6" s="12" t="s">
        <v>40</v>
      </c>
      <c r="J6" s="12" t="s">
        <v>40</v>
      </c>
      <c r="K6" s="12" t="s">
        <v>40</v>
      </c>
    </row>
    <row r="7" spans="1:11" ht="30" x14ac:dyDescent="0.25">
      <c r="A7" s="6" t="s">
        <v>4</v>
      </c>
      <c r="B7" s="22" t="str">
        <f t="shared" ref="B7:C7" ca="1" si="0">IFERROR(VLOOKUP(B$7,INDIRECT("'"&amp;B$1&amp;" "&amp;B$2&amp;"'!A:X"),2,FALSE),"Invalid Plan")</f>
        <v>$500/$1,000</v>
      </c>
      <c r="C7" s="22" t="s">
        <v>122</v>
      </c>
      <c r="D7" s="22" t="s">
        <v>61</v>
      </c>
      <c r="E7" s="22" t="s">
        <v>68</v>
      </c>
      <c r="F7" s="22">
        <v>0</v>
      </c>
      <c r="G7" s="46" t="s">
        <v>68</v>
      </c>
      <c r="H7" s="22" t="s">
        <v>61</v>
      </c>
      <c r="I7" s="22" t="s">
        <v>68</v>
      </c>
      <c r="J7" s="22" t="s">
        <v>61</v>
      </c>
      <c r="K7" s="46" t="str">
        <f t="shared" ref="K7" ca="1" si="1">IFERROR(VLOOKUP(K$7,INDIRECT("'"&amp;K$1&amp;" "&amp;K$2&amp;"'!A:X"),2,FALSE),"Invalid Plan")</f>
        <v>$500/
$1,000</v>
      </c>
    </row>
    <row r="8" spans="1:11" ht="40.5" x14ac:dyDescent="0.25">
      <c r="A8" s="6" t="s">
        <v>30</v>
      </c>
      <c r="B8" s="23" t="s">
        <v>52</v>
      </c>
      <c r="C8" s="22" t="s">
        <v>123</v>
      </c>
      <c r="D8" s="23" t="s">
        <v>69</v>
      </c>
      <c r="E8" s="22" t="s">
        <v>69</v>
      </c>
      <c r="F8" s="23" t="s">
        <v>113</v>
      </c>
      <c r="G8" s="46" t="s">
        <v>136</v>
      </c>
      <c r="H8" s="23" t="s">
        <v>52</v>
      </c>
      <c r="I8" s="22" t="s">
        <v>52</v>
      </c>
      <c r="J8" s="23" t="s">
        <v>52</v>
      </c>
      <c r="K8" s="46" t="str">
        <f t="shared" ref="K8" ca="1" si="2">IFERROR(VLOOKUP(K$7,INDIRECT("'"&amp;K$1&amp;" "&amp;K$2&amp;"'!A:X"),3,FALSE),"Invalid Plan")</f>
        <v>$3,000/$6,000</v>
      </c>
    </row>
    <row r="9" spans="1:11" x14ac:dyDescent="0.25">
      <c r="A9" s="7"/>
      <c r="B9" s="24"/>
      <c r="C9" s="25" t="s">
        <v>70</v>
      </c>
      <c r="D9" s="24"/>
      <c r="E9" s="25" t="s">
        <v>70</v>
      </c>
      <c r="F9" s="24"/>
      <c r="G9" s="47" t="s">
        <v>70</v>
      </c>
      <c r="H9" s="24"/>
      <c r="I9" t="s">
        <v>70</v>
      </c>
      <c r="J9" s="24"/>
      <c r="K9" s="47" t="str">
        <f t="shared" ref="K9" ca="1" si="3">IFERROR(VLOOKUP(K$7,INDIRECT("'"&amp;K$1&amp;" "&amp;K$2&amp;"'!A:X"),4,FALSE),"")</f>
        <v/>
      </c>
    </row>
    <row r="10" spans="1:11" x14ac:dyDescent="0.25">
      <c r="A10" s="8" t="s">
        <v>5</v>
      </c>
      <c r="B10" s="24"/>
      <c r="C10" s="13"/>
      <c r="D10" s="24"/>
      <c r="E10" s="13"/>
      <c r="F10" s="24"/>
      <c r="G10" s="13"/>
      <c r="H10" s="24"/>
      <c r="J10" s="24"/>
      <c r="K10" s="13"/>
    </row>
    <row r="11" spans="1:11" ht="40.5" x14ac:dyDescent="0.25">
      <c r="A11" s="6" t="s">
        <v>43</v>
      </c>
      <c r="B11" s="26">
        <v>20</v>
      </c>
      <c r="C11" s="27" t="s">
        <v>124</v>
      </c>
      <c r="D11" s="26">
        <v>10</v>
      </c>
      <c r="E11" s="61" t="s">
        <v>71</v>
      </c>
      <c r="F11" s="26">
        <v>40</v>
      </c>
      <c r="G11" s="22" t="s">
        <v>137</v>
      </c>
      <c r="H11" s="26">
        <v>10</v>
      </c>
      <c r="I11" s="16" t="s">
        <v>71</v>
      </c>
      <c r="J11" s="26">
        <v>10</v>
      </c>
      <c r="K11" s="22" t="str">
        <f t="shared" ref="K11" ca="1" si="4">IFERROR(VLOOKUP(K$7,INDIRECT("'"&amp;K$1&amp;" "&amp;K$2&amp;"'!A:X"),5,FALSE),"Invalid Plan")</f>
        <v>$20</v>
      </c>
    </row>
    <row r="12" spans="1:11" x14ac:dyDescent="0.25">
      <c r="A12" s="6" t="s">
        <v>6</v>
      </c>
      <c r="B12" s="28">
        <v>20</v>
      </c>
      <c r="C12" s="22" t="s">
        <v>124</v>
      </c>
      <c r="D12" s="28">
        <v>10</v>
      </c>
      <c r="E12" s="22" t="s">
        <v>71</v>
      </c>
      <c r="F12" s="28">
        <v>40</v>
      </c>
      <c r="G12" s="22" t="s">
        <v>137</v>
      </c>
      <c r="H12" s="28">
        <v>10</v>
      </c>
      <c r="I12" s="23" t="s">
        <v>71</v>
      </c>
      <c r="J12" s="28">
        <v>10</v>
      </c>
      <c r="K12" s="22" t="str">
        <f t="shared" ref="K12" ca="1" si="5">IFERROR(VLOOKUP(K$7,INDIRECT("'"&amp;K$1&amp;" "&amp;K$2&amp;"'!A:X"),6,FALSE),"Invalid Plan")</f>
        <v>$20</v>
      </c>
    </row>
    <row r="13" spans="1:11" ht="30" x14ac:dyDescent="0.25">
      <c r="A13" s="6" t="s">
        <v>7</v>
      </c>
      <c r="B13" s="28">
        <v>20</v>
      </c>
      <c r="C13" s="22" t="s">
        <v>124</v>
      </c>
      <c r="D13" s="28">
        <v>10</v>
      </c>
      <c r="E13" s="22" t="s">
        <v>71</v>
      </c>
      <c r="F13" s="33" t="s">
        <v>118</v>
      </c>
      <c r="G13" s="33" t="s">
        <v>138</v>
      </c>
      <c r="H13" s="28">
        <v>10</v>
      </c>
      <c r="I13" s="23" t="s">
        <v>71</v>
      </c>
      <c r="J13" s="28">
        <v>10</v>
      </c>
      <c r="K13" s="22" t="str">
        <f t="shared" ref="K13" ca="1" si="6">IFERROR(VLOOKUP(K$7,INDIRECT("'"&amp;K$1&amp;" "&amp;K$2&amp;"'!A:X"),7,FALSE),"Invalid Plan")</f>
        <v>$20</v>
      </c>
    </row>
    <row r="14" spans="1:11" x14ac:dyDescent="0.25">
      <c r="A14" s="6" t="s">
        <v>8</v>
      </c>
      <c r="B14" s="41">
        <v>20</v>
      </c>
      <c r="C14" s="22" t="s">
        <v>124</v>
      </c>
      <c r="D14" s="28">
        <v>0</v>
      </c>
      <c r="E14" s="22" t="s">
        <v>71</v>
      </c>
      <c r="F14" s="28">
        <v>0</v>
      </c>
      <c r="G14" s="22" t="s">
        <v>137</v>
      </c>
      <c r="H14" s="28" t="s">
        <v>44</v>
      </c>
      <c r="I14" s="23" t="s">
        <v>72</v>
      </c>
      <c r="J14" s="28" t="s">
        <v>44</v>
      </c>
      <c r="K14" s="22" t="str">
        <f t="shared" ref="K14" ca="1" si="7">IFERROR(VLOOKUP(K$7,INDIRECT("'"&amp;K$1&amp;" "&amp;K$2&amp;"'!A:X"),8,FALSE),"Invalid Plan")</f>
        <v>$0</v>
      </c>
    </row>
    <row r="15" spans="1:11" ht="30" x14ac:dyDescent="0.25">
      <c r="A15" s="6" t="s">
        <v>9</v>
      </c>
      <c r="B15" s="29">
        <v>0.1</v>
      </c>
      <c r="C15" s="14" t="s">
        <v>125</v>
      </c>
      <c r="D15" s="41">
        <v>0</v>
      </c>
      <c r="E15" s="14" t="s">
        <v>131</v>
      </c>
      <c r="F15" s="41">
        <v>0</v>
      </c>
      <c r="G15" s="14" t="s">
        <v>131</v>
      </c>
      <c r="H15" s="29" t="s">
        <v>44</v>
      </c>
      <c r="I15" s="23" t="s">
        <v>72</v>
      </c>
      <c r="J15" s="29" t="s">
        <v>44</v>
      </c>
      <c r="K15" s="14" t="str">
        <f t="shared" ref="K15" ca="1" si="8">IFERROR(VLOOKUP(K$7,INDIRECT("'"&amp;K$1&amp;" "&amp;K$2&amp;"'!A:X"),9,FALSE),"Invalid Plan")</f>
        <v>10% Copay
up to $50</v>
      </c>
    </row>
    <row r="16" spans="1:11" x14ac:dyDescent="0.25">
      <c r="A16" s="6" t="s">
        <v>10</v>
      </c>
      <c r="B16" s="41">
        <v>20</v>
      </c>
      <c r="C16" s="14" t="s">
        <v>125</v>
      </c>
      <c r="D16" s="41">
        <v>0</v>
      </c>
      <c r="E16" s="14" t="s">
        <v>72</v>
      </c>
      <c r="F16" s="41">
        <v>0</v>
      </c>
      <c r="G16" s="14" t="s">
        <v>72</v>
      </c>
      <c r="H16" s="29" t="s">
        <v>44</v>
      </c>
      <c r="I16" s="23" t="s">
        <v>72</v>
      </c>
      <c r="J16" s="29" t="s">
        <v>44</v>
      </c>
      <c r="K16" s="14" t="str">
        <f t="shared" ref="K16" ca="1" si="9">IFERROR(VLOOKUP(K$7,INDIRECT("'"&amp;K$1&amp;" "&amp;K$2&amp;"'!A:X"),10,FALSE),"Invalid Plan")</f>
        <v>$10</v>
      </c>
    </row>
    <row r="17" spans="1:11" ht="27.75" x14ac:dyDescent="0.25">
      <c r="A17" s="9" t="s">
        <v>31</v>
      </c>
      <c r="B17" s="54" t="s">
        <v>42</v>
      </c>
      <c r="C17" s="30" t="s">
        <v>42</v>
      </c>
      <c r="D17" s="43">
        <v>0.5</v>
      </c>
      <c r="E17" s="30" t="s">
        <v>73</v>
      </c>
      <c r="F17" s="43" t="s">
        <v>42</v>
      </c>
      <c r="G17" s="30" t="s">
        <v>73</v>
      </c>
      <c r="H17" s="28" t="s">
        <v>42</v>
      </c>
      <c r="I17" s="23" t="s">
        <v>100</v>
      </c>
      <c r="J17" s="28" t="s">
        <v>42</v>
      </c>
      <c r="K17" s="30" t="str">
        <f t="shared" ref="K17" ca="1" si="10">IFERROR(VLOOKUP(K$7,INDIRECT("'"&amp;K$1&amp;" "&amp;K$2&amp;"'!A:X"),11,FALSE),"Invalid Plan")</f>
        <v>Co-pay applies</v>
      </c>
    </row>
    <row r="18" spans="1:11" ht="30" x14ac:dyDescent="0.25">
      <c r="A18" s="6" t="s">
        <v>32</v>
      </c>
      <c r="B18" s="28" t="s">
        <v>44</v>
      </c>
      <c r="C18" s="22" t="s">
        <v>126</v>
      </c>
      <c r="D18" s="28" t="s">
        <v>44</v>
      </c>
      <c r="E18" s="22" t="s">
        <v>72</v>
      </c>
      <c r="F18" s="28">
        <v>0</v>
      </c>
      <c r="G18" s="22" t="s">
        <v>72</v>
      </c>
      <c r="H18" s="33" t="s">
        <v>88</v>
      </c>
      <c r="I18" s="23" t="s">
        <v>72</v>
      </c>
      <c r="J18" s="33" t="s">
        <v>88</v>
      </c>
      <c r="K18" s="22" t="str">
        <f t="shared" ref="K18" ca="1" si="11">IFERROR(VLOOKUP(K$7,INDIRECT("'"&amp;K$1&amp;" "&amp;K$2&amp;"'!A:X"),12,FALSE),"Invalid Plan")</f>
        <v>0%
Ded Waived</v>
      </c>
    </row>
    <row r="19" spans="1:11" x14ac:dyDescent="0.25">
      <c r="A19" s="7"/>
      <c r="B19" s="24"/>
      <c r="C19" s="31"/>
      <c r="D19" s="24"/>
      <c r="E19" s="31"/>
      <c r="F19" s="24"/>
      <c r="G19" s="31"/>
      <c r="H19" s="24"/>
      <c r="I19" s="24"/>
      <c r="J19" s="24"/>
      <c r="K19" s="31"/>
    </row>
    <row r="20" spans="1:11" x14ac:dyDescent="0.25">
      <c r="A20" s="8" t="s">
        <v>11</v>
      </c>
      <c r="B20" s="24"/>
      <c r="C20" s="31"/>
      <c r="D20" s="24"/>
      <c r="E20" s="31"/>
      <c r="F20" s="24"/>
      <c r="G20" s="31"/>
      <c r="H20" s="24"/>
      <c r="I20" s="24"/>
      <c r="J20" s="24"/>
      <c r="K20" s="31"/>
    </row>
    <row r="21" spans="1:11" ht="30" x14ac:dyDescent="0.25">
      <c r="A21" s="10" t="s">
        <v>33</v>
      </c>
      <c r="B21" s="32" t="s">
        <v>56</v>
      </c>
      <c r="C21" s="22" t="s">
        <v>127</v>
      </c>
      <c r="D21" s="32" t="s">
        <v>79</v>
      </c>
      <c r="E21" s="22" t="s">
        <v>74</v>
      </c>
      <c r="F21" s="32" t="s">
        <v>114</v>
      </c>
      <c r="G21" s="22" t="s">
        <v>139</v>
      </c>
      <c r="H21" s="32" t="s">
        <v>89</v>
      </c>
      <c r="I21" s="55" t="s">
        <v>74</v>
      </c>
      <c r="J21" s="32" t="s">
        <v>89</v>
      </c>
      <c r="K21" s="22" t="str">
        <f t="shared" ref="K21" ca="1" si="12">IFERROR(VLOOKUP(K$7,INDIRECT("'"&amp;K$1&amp;" "&amp;K$2&amp;"'!A:X"),13,FALSE),"Invalid Plan")</f>
        <v>10%</v>
      </c>
    </row>
    <row r="22" spans="1:11" ht="30" x14ac:dyDescent="0.25">
      <c r="A22" s="6" t="s">
        <v>34</v>
      </c>
      <c r="B22" s="29">
        <v>0.1</v>
      </c>
      <c r="C22" s="14" t="s">
        <v>125</v>
      </c>
      <c r="D22" s="44">
        <v>0</v>
      </c>
      <c r="E22" s="14" t="s">
        <v>72</v>
      </c>
      <c r="F22" s="53">
        <v>0.4</v>
      </c>
      <c r="G22" s="14" t="s">
        <v>140</v>
      </c>
      <c r="H22" s="29" t="s">
        <v>44</v>
      </c>
      <c r="I22" s="55" t="s">
        <v>72</v>
      </c>
      <c r="J22" s="29" t="s">
        <v>44</v>
      </c>
      <c r="K22" s="14" t="str">
        <f t="shared" ref="K22" ca="1" si="13">IFERROR(VLOOKUP(K$7,INDIRECT("'"&amp;K$1&amp;" "&amp;K$2&amp;"'!A:X"),14,FALSE),"Invalid Plan")</f>
        <v>10%</v>
      </c>
    </row>
    <row r="23" spans="1:11" x14ac:dyDescent="0.25">
      <c r="A23" s="6" t="s">
        <v>12</v>
      </c>
      <c r="B23" s="29">
        <v>0.1</v>
      </c>
      <c r="C23" s="14" t="s">
        <v>125</v>
      </c>
      <c r="D23" s="44">
        <v>0</v>
      </c>
      <c r="E23" s="14" t="s">
        <v>72</v>
      </c>
      <c r="F23" s="44">
        <v>0</v>
      </c>
      <c r="G23" s="14" t="s">
        <v>141</v>
      </c>
      <c r="H23" s="29" t="s">
        <v>90</v>
      </c>
      <c r="I23" s="55" t="s">
        <v>71</v>
      </c>
      <c r="J23" s="29" t="s">
        <v>90</v>
      </c>
      <c r="K23" s="14" t="str">
        <f t="shared" ref="K23" ca="1" si="14">IFERROR(VLOOKUP(K$7,INDIRECT("'"&amp;K$1&amp;" "&amp;K$2&amp;"'!A:X"),15,FALSE),"Invalid Plan")</f>
        <v>10%</v>
      </c>
    </row>
    <row r="24" spans="1:11" x14ac:dyDescent="0.25">
      <c r="A24" s="6" t="s">
        <v>35</v>
      </c>
      <c r="B24" s="29">
        <v>0.1</v>
      </c>
      <c r="C24" s="14" t="s">
        <v>125</v>
      </c>
      <c r="D24" s="29" t="s">
        <v>80</v>
      </c>
      <c r="E24" s="14" t="s">
        <v>72</v>
      </c>
      <c r="F24" s="53">
        <v>0.4</v>
      </c>
      <c r="G24" s="14" t="s">
        <v>141</v>
      </c>
      <c r="H24" s="29" t="s">
        <v>90</v>
      </c>
      <c r="I24" s="55" t="s">
        <v>71</v>
      </c>
      <c r="J24" s="29" t="s">
        <v>90</v>
      </c>
      <c r="K24" s="14" t="str">
        <f t="shared" ref="K24" ca="1" si="15">IFERROR(VLOOKUP(K$7,INDIRECT("'"&amp;K$1&amp;" "&amp;K$2&amp;"'!A:X"),16,FALSE),"Invalid Plan")</f>
        <v>10%</v>
      </c>
    </row>
    <row r="25" spans="1:11" ht="27.75" x14ac:dyDescent="0.25">
      <c r="A25" s="6" t="s">
        <v>36</v>
      </c>
      <c r="B25" s="29">
        <v>0.1</v>
      </c>
      <c r="C25" s="14" t="s">
        <v>125</v>
      </c>
      <c r="D25" s="29" t="s">
        <v>80</v>
      </c>
      <c r="E25" s="14" t="s">
        <v>72</v>
      </c>
      <c r="F25" s="53">
        <v>0.4</v>
      </c>
      <c r="G25" s="14" t="s">
        <v>141</v>
      </c>
      <c r="H25" s="29" t="s">
        <v>44</v>
      </c>
      <c r="I25" s="56">
        <v>10</v>
      </c>
      <c r="J25" s="29" t="s">
        <v>44</v>
      </c>
      <c r="K25" s="14" t="str">
        <f t="shared" ref="K25" ca="1" si="16">IFERROR(VLOOKUP(K$7,INDIRECT("'"&amp;K$1&amp;" "&amp;K$2&amp;"'!A:X"),17,FALSE),"Invalid Plan")</f>
        <v>10%</v>
      </c>
    </row>
    <row r="26" spans="1:11" x14ac:dyDescent="0.25">
      <c r="A26" s="7"/>
      <c r="B26" s="24"/>
      <c r="C26" s="31"/>
      <c r="D26" s="24"/>
      <c r="E26" s="31"/>
      <c r="F26" s="24"/>
      <c r="G26" s="31"/>
      <c r="H26" s="24"/>
      <c r="I26" s="24"/>
      <c r="J26" s="24"/>
      <c r="K26" s="31"/>
    </row>
    <row r="27" spans="1:11" ht="30" x14ac:dyDescent="0.25">
      <c r="A27" s="8" t="s">
        <v>13</v>
      </c>
      <c r="B27" s="24"/>
      <c r="C27" s="31"/>
      <c r="D27" s="24"/>
      <c r="E27" s="31"/>
      <c r="F27" s="24"/>
      <c r="G27" s="31"/>
      <c r="H27" s="24"/>
      <c r="I27" s="24"/>
      <c r="J27" s="24"/>
      <c r="K27" s="31"/>
    </row>
    <row r="28" spans="1:11" ht="30" x14ac:dyDescent="0.25">
      <c r="A28" s="6" t="s">
        <v>37</v>
      </c>
      <c r="B28" s="29">
        <v>0.1</v>
      </c>
      <c r="C28" s="14" t="s">
        <v>125</v>
      </c>
      <c r="D28" s="29" t="s">
        <v>44</v>
      </c>
      <c r="E28" s="14" t="s">
        <v>72</v>
      </c>
      <c r="F28" s="41">
        <v>0</v>
      </c>
      <c r="G28" s="14" t="s">
        <v>140</v>
      </c>
      <c r="H28" s="29" t="s">
        <v>44</v>
      </c>
      <c r="I28" s="55" t="s">
        <v>72</v>
      </c>
      <c r="J28" s="29" t="s">
        <v>44</v>
      </c>
      <c r="K28" s="14" t="str">
        <f t="shared" ref="K28" ca="1" si="17">IFERROR(VLOOKUP(K$7,INDIRECT("'"&amp;K$1&amp;" "&amp;K$2&amp;"'!A:X"),18,FALSE),"Invalid Plan")</f>
        <v>10%</v>
      </c>
    </row>
    <row r="29" spans="1:11" x14ac:dyDescent="0.25">
      <c r="A29" s="6" t="s">
        <v>38</v>
      </c>
      <c r="B29" s="29">
        <v>0.1</v>
      </c>
      <c r="C29" s="14" t="s">
        <v>125</v>
      </c>
      <c r="D29" s="29" t="s">
        <v>44</v>
      </c>
      <c r="E29" s="14" t="s">
        <v>72</v>
      </c>
      <c r="F29" s="41">
        <v>0</v>
      </c>
      <c r="G29" s="14" t="s">
        <v>72</v>
      </c>
      <c r="H29" s="29" t="s">
        <v>91</v>
      </c>
      <c r="I29" s="55" t="s">
        <v>71</v>
      </c>
      <c r="J29" s="29" t="s">
        <v>91</v>
      </c>
      <c r="K29" s="14" t="str">
        <f t="shared" ref="K29" ca="1" si="18">IFERROR(VLOOKUP(K$7,INDIRECT("'"&amp;K$1&amp;" "&amp;K$2&amp;"'!A:X"),19,FALSE),"Invalid Plan")</f>
        <v>10%</v>
      </c>
    </row>
    <row r="30" spans="1:11" x14ac:dyDescent="0.25">
      <c r="A30" s="7"/>
      <c r="B30" s="24"/>
      <c r="C30" s="31"/>
      <c r="D30" s="24"/>
      <c r="E30" s="31"/>
      <c r="F30" s="24"/>
      <c r="G30" s="31"/>
      <c r="H30" s="24"/>
      <c r="I30" s="24"/>
      <c r="J30" s="24"/>
      <c r="K30" s="31"/>
    </row>
    <row r="31" spans="1:11" x14ac:dyDescent="0.25">
      <c r="A31" s="8" t="s">
        <v>14</v>
      </c>
      <c r="B31" s="24"/>
      <c r="C31" s="31"/>
      <c r="D31" s="24"/>
      <c r="E31" s="31"/>
      <c r="F31" s="24"/>
      <c r="G31" s="31"/>
      <c r="H31" s="24"/>
      <c r="I31" s="24"/>
      <c r="J31" s="24"/>
      <c r="K31" s="31"/>
    </row>
    <row r="32" spans="1:11" ht="45" x14ac:dyDescent="0.25">
      <c r="A32" s="6" t="s">
        <v>15</v>
      </c>
      <c r="B32" s="33" t="s">
        <v>60</v>
      </c>
      <c r="C32" s="42" t="s">
        <v>125</v>
      </c>
      <c r="D32" s="33" t="s">
        <v>58</v>
      </c>
      <c r="E32" s="14" t="s">
        <v>75</v>
      </c>
      <c r="F32" s="33" t="s">
        <v>58</v>
      </c>
      <c r="G32" s="14" t="s">
        <v>75</v>
      </c>
      <c r="H32" s="33" t="s">
        <v>58</v>
      </c>
      <c r="I32" s="34" t="s">
        <v>75</v>
      </c>
      <c r="J32" s="33" t="s">
        <v>58</v>
      </c>
      <c r="K32" s="14" t="str">
        <f t="shared" ref="K32" ca="1" si="19">IFERROR(VLOOKUP(K$7,INDIRECT("'"&amp;K$1&amp;" "&amp;K$2&amp;"'!A:X"),20,FALSE),"Invalid Plan")</f>
        <v>$10/30 visits
combined w/chiro</v>
      </c>
    </row>
    <row r="33" spans="1:11" ht="30" x14ac:dyDescent="0.25">
      <c r="A33" s="6" t="s">
        <v>16</v>
      </c>
      <c r="B33" s="32">
        <v>0.1</v>
      </c>
      <c r="C33" s="14" t="s">
        <v>127</v>
      </c>
      <c r="D33" s="45" t="s">
        <v>93</v>
      </c>
      <c r="E33" s="14" t="s">
        <v>74</v>
      </c>
      <c r="F33" s="45" t="s">
        <v>115</v>
      </c>
      <c r="G33" s="14" t="s">
        <v>74</v>
      </c>
      <c r="H33" s="32" t="s">
        <v>93</v>
      </c>
      <c r="I33" s="23" t="s">
        <v>101</v>
      </c>
      <c r="J33" s="32" t="s">
        <v>93</v>
      </c>
      <c r="K33" s="14" t="str">
        <f ca="1">IFERROR(VLOOKUP(K$7,INDIRECT("'"&amp;K$1&amp;" "&amp;K$2&amp;"'!A:X"),21,FALSE),"Invalid Plan")</f>
        <v>$150</v>
      </c>
    </row>
    <row r="34" spans="1:11" ht="45" x14ac:dyDescent="0.25">
      <c r="A34" s="6" t="s">
        <v>17</v>
      </c>
      <c r="B34" s="42" t="s">
        <v>59</v>
      </c>
      <c r="C34" s="42" t="s">
        <v>125</v>
      </c>
      <c r="D34" s="33" t="s">
        <v>58</v>
      </c>
      <c r="E34" s="14" t="s">
        <v>76</v>
      </c>
      <c r="F34" s="33" t="s">
        <v>58</v>
      </c>
      <c r="G34" s="14" t="s">
        <v>76</v>
      </c>
      <c r="H34" s="33" t="s">
        <v>58</v>
      </c>
      <c r="I34" s="34" t="s">
        <v>76</v>
      </c>
      <c r="J34" s="33" t="s">
        <v>58</v>
      </c>
      <c r="K34" s="14" t="str">
        <f t="shared" ref="K34" ca="1" si="20">IFERROR(VLOOKUP(K$7,INDIRECT("'"&amp;K$1&amp;" "&amp;K$2&amp;"'!A:X"),22,FALSE),"Invalid Plan")</f>
        <v>$10/30 visits
 combined w/acu</v>
      </c>
    </row>
    <row r="35" spans="1:11" ht="105" x14ac:dyDescent="0.25">
      <c r="A35" s="6" t="s">
        <v>18</v>
      </c>
      <c r="B35" s="29">
        <v>0.1</v>
      </c>
      <c r="C35" s="14" t="s">
        <v>125</v>
      </c>
      <c r="D35" s="32" t="s">
        <v>81</v>
      </c>
      <c r="E35" s="14">
        <v>0</v>
      </c>
      <c r="F35" s="32" t="s">
        <v>116</v>
      </c>
      <c r="G35" s="32" t="s">
        <v>73</v>
      </c>
      <c r="H35" s="29">
        <v>0.2</v>
      </c>
      <c r="I35" s="23" t="s">
        <v>102</v>
      </c>
      <c r="J35" s="29">
        <v>0.2</v>
      </c>
      <c r="K35" s="14" t="str">
        <f t="shared" ref="K35" ca="1" si="21">IFERROR(VLOOKUP(K$7,INDIRECT("'"&amp;K$1&amp;" "&amp;K$2&amp;"'!A:X"),23,FALSE),"Invalid Plan")</f>
        <v>20%</v>
      </c>
    </row>
    <row r="36" spans="1:11" x14ac:dyDescent="0.25">
      <c r="A36" s="6" t="s">
        <v>19</v>
      </c>
      <c r="B36" s="29" t="s">
        <v>57</v>
      </c>
      <c r="C36" s="14" t="s">
        <v>125</v>
      </c>
      <c r="D36" s="41">
        <v>10</v>
      </c>
      <c r="E36" s="14" t="s">
        <v>71</v>
      </c>
      <c r="F36" s="41" t="s">
        <v>117</v>
      </c>
      <c r="G36" s="14" t="s">
        <v>138</v>
      </c>
      <c r="H36" s="29">
        <v>0.2</v>
      </c>
      <c r="I36" s="23" t="s">
        <v>71</v>
      </c>
      <c r="J36" s="29">
        <v>0.2</v>
      </c>
      <c r="K36" s="14" t="str">
        <f t="shared" ref="K36" ca="1" si="22">IFERROR(VLOOKUP(K$7,INDIRECT("'"&amp;K$1&amp;" "&amp;K$2&amp;"'!A:X"),24,FALSE),"Invalid Plan")</f>
        <v>$20</v>
      </c>
    </row>
    <row r="37" spans="1:11" ht="75" x14ac:dyDescent="0.25">
      <c r="A37" s="6" t="s">
        <v>20</v>
      </c>
      <c r="B37" s="33" t="s">
        <v>58</v>
      </c>
      <c r="C37" s="14" t="s">
        <v>128</v>
      </c>
      <c r="D37" s="33" t="s">
        <v>58</v>
      </c>
      <c r="E37" s="14" t="s">
        <v>132</v>
      </c>
      <c r="F37" s="33" t="s">
        <v>58</v>
      </c>
      <c r="G37" s="14" t="s">
        <v>132</v>
      </c>
      <c r="H37" s="33" t="s">
        <v>58</v>
      </c>
      <c r="I37" s="34" t="s">
        <v>103</v>
      </c>
      <c r="J37" s="33" t="s">
        <v>58</v>
      </c>
      <c r="K37" s="14" t="str">
        <f ca="1">IFERROR(VLOOKUP(K$7,INDIRECT("'"&amp;K$1&amp;" "&amp;K$2&amp;"'!A:Y"),25,FALSE),"Invalid Plan")</f>
        <v xml:space="preserve">amount in excess of $500 allowance every 36 months </v>
      </c>
    </row>
    <row r="38" spans="1:11" x14ac:dyDescent="0.25">
      <c r="A38" s="7"/>
      <c r="C38" s="15"/>
      <c r="G38" s="15"/>
      <c r="K38" s="15"/>
    </row>
    <row r="39" spans="1:11" x14ac:dyDescent="0.25">
      <c r="A39" s="8" t="s">
        <v>21</v>
      </c>
      <c r="C39" s="15"/>
      <c r="G39" s="15"/>
      <c r="K39" s="15"/>
    </row>
    <row r="40" spans="1:11" ht="31.5" x14ac:dyDescent="0.25">
      <c r="A40" s="11" t="s">
        <v>22</v>
      </c>
      <c r="B40" s="17" t="s">
        <v>55</v>
      </c>
      <c r="C40" s="20" t="s">
        <v>120</v>
      </c>
      <c r="D40" s="17" t="s">
        <v>82</v>
      </c>
      <c r="E40" s="21" t="s">
        <v>45</v>
      </c>
      <c r="F40" s="17" t="s">
        <v>82</v>
      </c>
      <c r="G40" s="20" t="s">
        <v>135</v>
      </c>
      <c r="H40" s="18" t="s">
        <v>94</v>
      </c>
      <c r="I40" s="51" t="s">
        <v>99</v>
      </c>
      <c r="J40" s="18" t="s">
        <v>94</v>
      </c>
      <c r="K40" s="20" t="s">
        <v>111</v>
      </c>
    </row>
    <row r="41" spans="1:11" x14ac:dyDescent="0.25">
      <c r="A41" s="6" t="s">
        <v>23</v>
      </c>
      <c r="B41" s="16" t="s">
        <v>41</v>
      </c>
      <c r="C41" s="16" t="s">
        <v>46</v>
      </c>
      <c r="D41" s="16" t="s">
        <v>41</v>
      </c>
      <c r="E41" s="16" t="s">
        <v>46</v>
      </c>
      <c r="F41" s="16" t="s">
        <v>41</v>
      </c>
      <c r="G41" s="48" t="s">
        <v>46</v>
      </c>
      <c r="H41" s="16" t="s">
        <v>87</v>
      </c>
      <c r="I41" s="50" t="s">
        <v>104</v>
      </c>
      <c r="J41" s="16" t="s">
        <v>87</v>
      </c>
      <c r="K41" s="48" t="str">
        <f t="shared" ref="K41" ca="1" si="23">IF(K$42="Select Rx Plan","",IF(K$2="KAISER", "Kaiser", "Navitus"))</f>
        <v>Kaiser</v>
      </c>
    </row>
    <row r="42" spans="1:11" ht="30" x14ac:dyDescent="0.25">
      <c r="A42" s="6" t="s">
        <v>24</v>
      </c>
      <c r="B42" s="26" t="s">
        <v>61</v>
      </c>
      <c r="C42" s="26" t="s">
        <v>105</v>
      </c>
      <c r="D42" s="26" t="s">
        <v>61</v>
      </c>
      <c r="E42" s="26" t="s">
        <v>105</v>
      </c>
      <c r="F42" s="26" t="s">
        <v>86</v>
      </c>
      <c r="G42" s="57" t="s">
        <v>142</v>
      </c>
      <c r="H42" s="26">
        <v>0</v>
      </c>
      <c r="I42" s="55" t="s">
        <v>105</v>
      </c>
      <c r="J42" s="26">
        <v>0</v>
      </c>
      <c r="K42" s="57" t="str">
        <f t="shared" ref="K42" ca="1" si="24">IFERROR(VLOOKUP(K$42,INDIRECT("'"&amp;K$1&amp;" "&amp;K$2&amp;" Rx'!$A:$G"),2,FALSE),"Invalid Plan")</f>
        <v>none</v>
      </c>
    </row>
    <row r="43" spans="1:11" ht="30" x14ac:dyDescent="0.25">
      <c r="A43" s="6" t="s">
        <v>39</v>
      </c>
      <c r="B43" s="34" t="s">
        <v>62</v>
      </c>
      <c r="C43" s="34" t="s">
        <v>47</v>
      </c>
      <c r="D43" s="34" t="s">
        <v>62</v>
      </c>
      <c r="E43" s="23" t="s">
        <v>47</v>
      </c>
      <c r="F43" s="34" t="s">
        <v>86</v>
      </c>
      <c r="G43" s="49" t="s">
        <v>143</v>
      </c>
      <c r="H43" s="34" t="s">
        <v>62</v>
      </c>
      <c r="I43" s="58" t="s">
        <v>106</v>
      </c>
      <c r="J43" s="34" t="s">
        <v>62</v>
      </c>
      <c r="K43" s="52" t="str">
        <f t="shared" ref="K43" ca="1" si="25">IFERROR(VLOOKUP(K$42,INDIRECT("'"&amp;K$1&amp;" "&amp;K$2&amp;" Rx'!$A:$G"),3,FALSE),"Invalid Plan")</f>
        <v>Included w/ Med OOP Max</v>
      </c>
    </row>
    <row r="44" spans="1:11" ht="45" x14ac:dyDescent="0.25">
      <c r="A44" s="6" t="s">
        <v>25</v>
      </c>
      <c r="B44" s="26">
        <v>10</v>
      </c>
      <c r="C44" s="35" t="s">
        <v>66</v>
      </c>
      <c r="D44" s="35" t="s">
        <v>83</v>
      </c>
      <c r="E44" s="35" t="s">
        <v>51</v>
      </c>
      <c r="F44" s="35" t="s">
        <v>86</v>
      </c>
      <c r="G44" s="59" t="s">
        <v>144</v>
      </c>
      <c r="H44" s="35" t="s">
        <v>95</v>
      </c>
      <c r="I44" s="58" t="s">
        <v>107</v>
      </c>
      <c r="J44" s="35" t="s">
        <v>95</v>
      </c>
      <c r="K44" s="59">
        <f t="shared" ref="K44" ca="1" si="26">IFERROR(VLOOKUP(K$42,INDIRECT("'"&amp;K$1&amp;" "&amp;K$2&amp;" Rx'!$A:$G"),4,FALSE),"Invalid Plan")</f>
        <v>10</v>
      </c>
    </row>
    <row r="45" spans="1:11" ht="45" x14ac:dyDescent="0.25">
      <c r="A45" s="6" t="s">
        <v>26</v>
      </c>
      <c r="B45" s="34" t="s">
        <v>63</v>
      </c>
      <c r="C45" s="35">
        <v>15</v>
      </c>
      <c r="D45" s="35">
        <v>20</v>
      </c>
      <c r="E45" s="26">
        <v>20</v>
      </c>
      <c r="F45" s="35" t="s">
        <v>86</v>
      </c>
      <c r="G45" s="59">
        <v>35</v>
      </c>
      <c r="H45" s="35" t="s">
        <v>96</v>
      </c>
      <c r="I45" s="58" t="s">
        <v>107</v>
      </c>
      <c r="J45" s="35" t="s">
        <v>96</v>
      </c>
      <c r="K45" s="59">
        <f t="shared" ref="K45" ca="1" si="27">IFERROR(VLOOKUP(K$42,INDIRECT("'"&amp;K$1&amp;" "&amp;K$2&amp;" Rx'!$A:$G"),5,FALSE),"Invalid Plan")</f>
        <v>30</v>
      </c>
    </row>
    <row r="46" spans="1:11" ht="45" x14ac:dyDescent="0.25">
      <c r="A46" s="6" t="s">
        <v>27</v>
      </c>
      <c r="B46" s="34" t="s">
        <v>64</v>
      </c>
      <c r="C46" s="34" t="s">
        <v>67</v>
      </c>
      <c r="D46" s="34" t="s">
        <v>84</v>
      </c>
      <c r="E46" s="35" t="s">
        <v>48</v>
      </c>
      <c r="F46" s="34" t="s">
        <v>86</v>
      </c>
      <c r="G46" s="57" t="s">
        <v>145</v>
      </c>
      <c r="H46" s="35" t="s">
        <v>96</v>
      </c>
      <c r="I46" s="58" t="s">
        <v>108</v>
      </c>
      <c r="J46" s="35" t="s">
        <v>96</v>
      </c>
      <c r="K46" s="57">
        <f t="shared" ref="K46" ca="1" si="28">IFERROR(VLOOKUP(K$42,INDIRECT("'"&amp;K$1&amp;" "&amp;K$2&amp;" Rx'!$A:$G"),6,FALSE),"Invalid Plan")</f>
        <v>30</v>
      </c>
    </row>
    <row r="47" spans="1:11" ht="75" x14ac:dyDescent="0.25">
      <c r="A47" s="6" t="s">
        <v>28</v>
      </c>
      <c r="B47" s="34" t="s">
        <v>65</v>
      </c>
      <c r="C47" s="34" t="s">
        <v>129</v>
      </c>
      <c r="D47" s="34" t="s">
        <v>85</v>
      </c>
      <c r="E47" s="35" t="s">
        <v>133</v>
      </c>
      <c r="F47" s="34" t="s">
        <v>86</v>
      </c>
      <c r="G47" s="57" t="s">
        <v>146</v>
      </c>
      <c r="H47" s="34" t="s">
        <v>50</v>
      </c>
      <c r="I47" s="34" t="s">
        <v>109</v>
      </c>
      <c r="J47" s="34" t="s">
        <v>50</v>
      </c>
      <c r="K47" s="57" t="str">
        <f t="shared" ref="K47" ca="1" si="29">IFERROR(VLOOKUP(K$42,INDIRECT("'"&amp;K$1&amp;" "&amp;K$2&amp;" Rx'!$A:$G"),7,FALSE),"Invalid Plan")</f>
        <v>$20-$60/up to 100 day supply</v>
      </c>
    </row>
    <row r="48" spans="1:11" ht="30" x14ac:dyDescent="0.25">
      <c r="A48" s="6" t="s">
        <v>29</v>
      </c>
      <c r="B48" s="34" t="s">
        <v>86</v>
      </c>
      <c r="C48" s="34" t="s">
        <v>49</v>
      </c>
      <c r="D48" s="34" t="s">
        <v>86</v>
      </c>
      <c r="E48" s="35" t="s">
        <v>49</v>
      </c>
      <c r="F48" s="34" t="s">
        <v>86</v>
      </c>
      <c r="G48" s="57" t="s">
        <v>49</v>
      </c>
      <c r="H48" s="60" t="s">
        <v>87</v>
      </c>
      <c r="I48" s="58" t="s">
        <v>110</v>
      </c>
      <c r="J48" s="60" t="s">
        <v>87</v>
      </c>
      <c r="K48" s="57" t="str">
        <f t="shared" ref="K48" ca="1" si="30">IF(K$42="Select Rx Plan","",IF(K$2="KAISER", "Kaiser Mail Order Pharmacy", "Costco Mail Order Pharmacy"))</f>
        <v>Kaiser Mail Order Pharmacy</v>
      </c>
    </row>
    <row r="50" spans="1:7" x14ac:dyDescent="0.25">
      <c r="A50" s="39"/>
      <c r="B50" s="37"/>
      <c r="C50" s="37"/>
      <c r="D50" s="37"/>
      <c r="E50" s="38"/>
      <c r="F50" s="38"/>
      <c r="G50" s="38"/>
    </row>
    <row r="51" spans="1:7" x14ac:dyDescent="0.25">
      <c r="A51" s="40"/>
      <c r="B51" s="36"/>
      <c r="C51" s="36"/>
      <c r="D51" s="36"/>
      <c r="E51" s="36"/>
      <c r="F51" s="36"/>
      <c r="G51" s="36"/>
    </row>
    <row r="52" spans="1:7" x14ac:dyDescent="0.25">
      <c r="A52" s="40"/>
      <c r="B52" s="36"/>
      <c r="C52" s="36"/>
      <c r="D52" s="36"/>
      <c r="E52" s="36"/>
      <c r="F52" s="36"/>
      <c r="G52" s="36"/>
    </row>
    <row r="53" spans="1:7" x14ac:dyDescent="0.25">
      <c r="A53" s="40"/>
      <c r="B53" s="36"/>
      <c r="C53" s="36"/>
      <c r="D53" s="36"/>
      <c r="E53" s="36"/>
      <c r="F53" s="36"/>
      <c r="G53" s="36"/>
    </row>
  </sheetData>
  <mergeCells count="3">
    <mergeCell ref="B1:K1"/>
    <mergeCell ref="B2:K2"/>
    <mergeCell ref="B3:K3"/>
  </mergeCells>
  <dataValidations count="6">
    <dataValidation type="list" allowBlank="1" showErrorMessage="1" sqref="C5 C40 K5 I5 E5 G5">
      <formula1>INDIRECT("'"&amp;C$1&amp;" "&amp;C$2&amp;"'!$A:$A")</formula1>
    </dataValidation>
    <dataValidation type="custom" allowBlank="1" showInputMessage="1" showErrorMessage="1" sqref="I4">
      <formula1>XFD1048576</formula1>
    </dataValidation>
    <dataValidation type="custom" allowBlank="1" showInputMessage="1" showErrorMessage="1" sqref="H4 J4">
      <formula1>C1048576</formula1>
    </dataValidation>
    <dataValidation type="list" allowBlank="1" showErrorMessage="1" sqref="K40 G40">
      <formula1>INDIRECT("'"&amp;G$1&amp;" "&amp;G$2&amp;" Rx'!$A:$A")</formula1>
    </dataValidation>
    <dataValidation type="custom" allowBlank="1" showInputMessage="1" showErrorMessage="1" sqref="K4">
      <formula1>#REF!</formula1>
    </dataValidation>
    <dataValidation type="custom" allowBlank="1" showInputMessage="1" showErrorMessage="1" sqref="B4:G4">
      <formula1>XEY1048576</formula1>
    </dataValidation>
  </dataValidations>
  <pageMargins left="0.7" right="0.7" top="0.75" bottom="0.75" header="0.3" footer="0.3"/>
  <pageSetup scale="7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KCSOS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Cabrera</dc:creator>
  <cp:lastModifiedBy>Armando Cabrera</cp:lastModifiedBy>
  <cp:lastPrinted>2021-05-05T22:01:26Z</cp:lastPrinted>
  <dcterms:created xsi:type="dcterms:W3CDTF">2020-07-17T01:42:56Z</dcterms:created>
  <dcterms:modified xsi:type="dcterms:W3CDTF">2021-06-25T19:57:58Z</dcterms:modified>
</cp:coreProperties>
</file>